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ПКТ" sheetId="4" r:id="rId1"/>
    <sheet name="ПЛП" sheetId="5" r:id="rId2"/>
    <sheet name="СВХ" sheetId="7" r:id="rId3"/>
    <sheet name="УЛКТ" sheetId="9" r:id="rId4"/>
    <sheet name="КТСП" sheetId="10" r:id="rId5"/>
    <sheet name="МРП" sheetId="11" r:id="rId6"/>
  </sheets>
  <calcPr calcId="125725"/>
</workbook>
</file>

<file path=xl/calcChain.xml><?xml version="1.0" encoding="utf-8"?>
<calcChain xmlns="http://schemas.openxmlformats.org/spreadsheetml/2006/main">
  <c r="E13" i="9"/>
  <c r="D13"/>
  <c r="B18" i="11"/>
  <c r="F13" i="5"/>
  <c r="E13"/>
  <c r="D13"/>
  <c r="B18" l="1"/>
  <c r="F13" i="4"/>
  <c r="E13"/>
  <c r="D13"/>
  <c r="B18"/>
  <c r="B19" i="10" l="1"/>
  <c r="B19" i="9"/>
  <c r="B18" i="7"/>
  <c r="B19" i="11"/>
  <c r="B19" i="5"/>
  <c r="B19" i="4"/>
  <c r="O4" i="11"/>
  <c r="F13"/>
  <c r="E13"/>
  <c r="D13"/>
  <c r="O10"/>
  <c r="O9"/>
  <c r="O6"/>
  <c r="O5"/>
  <c r="H13" i="10"/>
  <c r="G13"/>
  <c r="F13"/>
  <c r="E13"/>
  <c r="D13"/>
  <c r="O5"/>
  <c r="O6"/>
  <c r="O7"/>
  <c r="O8"/>
  <c r="O4"/>
  <c r="B18"/>
  <c r="O11"/>
  <c r="B20" i="11" l="1"/>
  <c r="B20" i="10"/>
  <c r="H14" s="1"/>
  <c r="O10" i="9"/>
  <c r="O6"/>
  <c r="O5"/>
  <c r="B18"/>
  <c r="B20" l="1"/>
  <c r="E14" s="1"/>
  <c r="F14" i="11"/>
  <c r="D14"/>
  <c r="E14"/>
  <c r="F14" i="10"/>
  <c r="G14"/>
  <c r="D14"/>
  <c r="E14"/>
  <c r="B19" i="7"/>
  <c r="O11"/>
  <c r="O10"/>
  <c r="O7"/>
  <c r="O6"/>
  <c r="O5"/>
  <c r="O11" i="5"/>
  <c r="O10"/>
  <c r="O7"/>
  <c r="O6"/>
  <c r="O5"/>
  <c r="B20" i="4"/>
  <c r="F14" s="1"/>
  <c r="O11"/>
  <c r="O10"/>
  <c r="O7"/>
  <c r="O6"/>
  <c r="O5"/>
  <c r="D14" i="9" l="1"/>
  <c r="D14" i="4"/>
  <c r="E14"/>
  <c r="D17" i="10"/>
  <c r="E17" s="1"/>
  <c r="B20" i="5"/>
  <c r="F14" s="1"/>
  <c r="D17" i="11"/>
  <c r="E17" s="1"/>
  <c r="E14" i="5" l="1"/>
  <c r="D14"/>
  <c r="D17" i="4"/>
  <c r="E17" s="1"/>
  <c r="D17" i="9"/>
  <c r="E17" s="1"/>
  <c r="D17" i="5" l="1"/>
  <c r="E17" s="1"/>
  <c r="E14" i="7"/>
  <c r="F14"/>
  <c r="D14"/>
  <c r="D17" l="1"/>
  <c r="E17" s="1"/>
</calcChain>
</file>

<file path=xl/sharedStrings.xml><?xml version="1.0" encoding="utf-8"?>
<sst xmlns="http://schemas.openxmlformats.org/spreadsheetml/2006/main" count="192" uniqueCount="44">
  <si>
    <t>Standard DV/GP/HQ containers</t>
  </si>
  <si>
    <t>Standard DV/GP/HQ containers (with IMO goods)</t>
  </si>
  <si>
    <t>Refrigerated containers</t>
  </si>
  <si>
    <t>Refrigerated containers (with IMO goods)</t>
  </si>
  <si>
    <t>Standard DV/GP/HQ containers (awkward)</t>
  </si>
  <si>
    <t>st</t>
  </si>
  <si>
    <t>st imo</t>
  </si>
  <si>
    <t>st awk</t>
  </si>
  <si>
    <t>2 3</t>
  </si>
  <si>
    <t>ref</t>
  </si>
  <si>
    <t>ref imo</t>
  </si>
  <si>
    <t>1 5</t>
  </si>
  <si>
    <t>First Container Terminal (SSB01)</t>
  </si>
  <si>
    <t>Storage cost breakdown</t>
  </si>
  <si>
    <t>Date of discharge</t>
  </si>
  <si>
    <t>TEU quantity</t>
  </si>
  <si>
    <t>Container type</t>
  </si>
  <si>
    <t>Total per TEU, USD</t>
  </si>
  <si>
    <t>Total, USD</t>
  </si>
  <si>
    <t>Free time, calendar days</t>
  </si>
  <si>
    <t>Total amount of storage, calendar days</t>
  </si>
  <si>
    <t>Billable, calendar days</t>
  </si>
  <si>
    <t>Petrolesport (SSB04)</t>
  </si>
  <si>
    <t>Inner Depot Logistica-Terminal (FCT)</t>
  </si>
  <si>
    <t>Billable days 1 to 4</t>
  </si>
  <si>
    <t>Billable days 5 to 8</t>
  </si>
  <si>
    <t>Billable days 9 and over</t>
  </si>
  <si>
    <t>Ust-Luga Container Terminal (ULU)</t>
  </si>
  <si>
    <t>CTSP (SSB03)</t>
  </si>
  <si>
    <t xml:space="preserve">1 5 </t>
  </si>
  <si>
    <t>6 8</t>
  </si>
  <si>
    <t>31 60</t>
  </si>
  <si>
    <t>Fishport (SSB02)</t>
  </si>
  <si>
    <t>1 4</t>
  </si>
  <si>
    <t>1 3</t>
  </si>
  <si>
    <t>4 7</t>
  </si>
  <si>
    <t>Colleagues, in order to get correct storage sum, please take the following steps:</t>
  </si>
  <si>
    <t>1) Input date of discharge and container pick up date in the yellow cells above;</t>
  </si>
  <si>
    <t>2) Input TEU quantity (1 - 20ft. 2 - 40ft);</t>
  </si>
  <si>
    <t>4) Calculation will be done automatically.</t>
  </si>
  <si>
    <t>3) Calculation will be done automatically.</t>
  </si>
  <si>
    <t>Please kindly note that calculation is approximate. Actual costs will be invoiced upon receipt of terminal bill.</t>
  </si>
  <si>
    <t>3) Choose container type from the dropping list. Click on the cell and then click on the arrow sign;</t>
  </si>
  <si>
    <t>Container gate out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</si>
</sst>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1" fontId="2" fillId="0" borderId="0" xfId="0" applyNumberFormat="1" applyFont="1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17" fontId="2" fillId="0" borderId="0" xfId="0" applyNumberFormat="1" applyFont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2" fontId="2" fillId="0" borderId="0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Protection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topLeftCell="A12" workbookViewId="0">
      <selection activeCell="C17" sqref="C17"/>
    </sheetView>
  </sheetViews>
  <sheetFormatPr defaultRowHeight="15"/>
  <cols>
    <col min="1" max="1" width="35.85546875" style="1" bestFit="1" customWidth="1"/>
    <col min="2" max="2" width="50.28515625" style="1" customWidth="1"/>
    <col min="3" max="3" width="9.140625" style="1"/>
    <col min="4" max="6" width="22.140625" style="1" bestFit="1" customWidth="1"/>
    <col min="7" max="16384" width="9.140625" style="1"/>
  </cols>
  <sheetData>
    <row r="1" spans="1:19" hidden="1">
      <c r="J1" s="15"/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  <c r="Q1" s="6"/>
      <c r="R1" s="6"/>
      <c r="S1" s="15"/>
    </row>
    <row r="2" spans="1:19" hidden="1">
      <c r="J2" s="15"/>
      <c r="K2" s="6"/>
      <c r="L2" s="6"/>
      <c r="M2" s="6"/>
      <c r="N2" s="6"/>
      <c r="O2" s="6"/>
      <c r="P2" s="6"/>
      <c r="Q2" s="6"/>
      <c r="R2" s="6"/>
      <c r="S2" s="15"/>
    </row>
    <row r="3" spans="1:19" hidden="1">
      <c r="J3" s="15"/>
      <c r="K3" s="6"/>
      <c r="L3" s="6"/>
      <c r="M3" s="6"/>
      <c r="N3" s="6"/>
      <c r="O3" s="6"/>
      <c r="P3" s="6"/>
      <c r="Q3" s="6"/>
      <c r="R3" s="6"/>
      <c r="S3" s="15"/>
    </row>
    <row r="4" spans="1:19" hidden="1">
      <c r="J4" s="15"/>
      <c r="K4" s="26" t="s">
        <v>5</v>
      </c>
      <c r="L4" s="26"/>
      <c r="M4" s="6"/>
      <c r="N4" s="26" t="s">
        <v>6</v>
      </c>
      <c r="O4" s="26"/>
      <c r="P4" s="6"/>
      <c r="Q4" s="26" t="s">
        <v>7</v>
      </c>
      <c r="R4" s="26"/>
      <c r="S4" s="15"/>
    </row>
    <row r="5" spans="1:19" hidden="1">
      <c r="J5" s="15"/>
      <c r="K5" s="7">
        <v>1</v>
      </c>
      <c r="L5" s="6">
        <v>60</v>
      </c>
      <c r="M5" s="6"/>
      <c r="N5" s="7">
        <v>1</v>
      </c>
      <c r="O5" s="8">
        <f>L5+L5*0.5</f>
        <v>90</v>
      </c>
      <c r="P5" s="6"/>
      <c r="Q5" s="6">
        <v>1</v>
      </c>
      <c r="R5" s="6">
        <v>90</v>
      </c>
      <c r="S5" s="15"/>
    </row>
    <row r="6" spans="1:19" hidden="1">
      <c r="J6" s="15"/>
      <c r="K6" s="7" t="s">
        <v>8</v>
      </c>
      <c r="L6" s="6">
        <v>24</v>
      </c>
      <c r="M6" s="6"/>
      <c r="N6" s="7" t="s">
        <v>8</v>
      </c>
      <c r="O6" s="8">
        <f>L6+L6*0.5</f>
        <v>36</v>
      </c>
      <c r="P6" s="6"/>
      <c r="Q6" s="6"/>
      <c r="R6" s="6"/>
      <c r="S6" s="15"/>
    </row>
    <row r="7" spans="1:19" hidden="1">
      <c r="J7" s="15"/>
      <c r="K7" s="7">
        <v>4</v>
      </c>
      <c r="L7" s="6">
        <v>66</v>
      </c>
      <c r="M7" s="6"/>
      <c r="N7" s="7">
        <v>4</v>
      </c>
      <c r="O7" s="8">
        <f>L7+L7*0.5</f>
        <v>99</v>
      </c>
      <c r="P7" s="6"/>
      <c r="Q7" s="6"/>
      <c r="R7" s="6"/>
      <c r="S7" s="15"/>
    </row>
    <row r="8" spans="1:19" hidden="1">
      <c r="J8" s="15"/>
      <c r="K8" s="6"/>
      <c r="L8" s="6"/>
      <c r="M8" s="6"/>
      <c r="N8" s="6"/>
      <c r="O8" s="6"/>
      <c r="P8" s="6"/>
      <c r="Q8" s="6"/>
      <c r="R8" s="6"/>
      <c r="S8" s="15"/>
    </row>
    <row r="9" spans="1:19" hidden="1">
      <c r="J9" s="15"/>
      <c r="K9" s="26" t="s">
        <v>9</v>
      </c>
      <c r="L9" s="26"/>
      <c r="M9" s="6"/>
      <c r="N9" s="26" t="s">
        <v>10</v>
      </c>
      <c r="O9" s="26"/>
      <c r="P9" s="6"/>
      <c r="Q9" s="6"/>
      <c r="R9" s="6"/>
      <c r="S9" s="15"/>
    </row>
    <row r="10" spans="1:19" hidden="1">
      <c r="J10" s="15"/>
      <c r="K10" s="7" t="s">
        <v>11</v>
      </c>
      <c r="L10" s="6">
        <v>60</v>
      </c>
      <c r="M10" s="6"/>
      <c r="N10" s="7" t="s">
        <v>11</v>
      </c>
      <c r="O10" s="6">
        <f>L10+L10*0.5</f>
        <v>90</v>
      </c>
      <c r="P10" s="6"/>
      <c r="Q10" s="6"/>
      <c r="R10" s="6"/>
      <c r="S10" s="15"/>
    </row>
    <row r="11" spans="1:19" hidden="1">
      <c r="J11" s="15"/>
      <c r="K11" s="7">
        <v>6</v>
      </c>
      <c r="L11" s="6">
        <v>72</v>
      </c>
      <c r="M11" s="6"/>
      <c r="N11" s="7">
        <v>6</v>
      </c>
      <c r="O11" s="6">
        <f>L11+L11*0.5</f>
        <v>108</v>
      </c>
      <c r="P11" s="6"/>
      <c r="Q11" s="6"/>
      <c r="R11" s="6"/>
      <c r="S11" s="15"/>
    </row>
    <row r="12" spans="1:19" ht="15.75">
      <c r="A12" s="27" t="s">
        <v>12</v>
      </c>
      <c r="B12" s="27"/>
      <c r="D12" s="28" t="s">
        <v>13</v>
      </c>
      <c r="E12" s="28"/>
      <c r="F12" s="28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>
      <c r="A13" s="5" t="s">
        <v>14</v>
      </c>
      <c r="B13" s="2">
        <v>42278</v>
      </c>
      <c r="D13" s="13" t="str">
        <f>IF(OR(B16="Standard DV/GP/HQ containers",B16="Standard DV/GP/HQ containers (with IMO goods)"),"Billable day 1",IF(OR(B16="Refrigerated containers",B16="Refrigerated containers (with IMO goods)"),"Billable days 1 to 3","Billable days 1 and over"))</f>
        <v>Billable day 1</v>
      </c>
      <c r="E13" s="13" t="str">
        <f>IF(OR(B16="Standard DV/GP/HQ containers",B16="Standard DV/GP/HQ containers (with IMO goods)"),"Billable days 2 to 3",IF(OR(B16="Refrigerated containers",B16="Refrigerated containers (with IMO goods)"),"Billable days 4 to 5","-"))</f>
        <v>Billable days 2 to 3</v>
      </c>
      <c r="F13" s="13" t="str">
        <f>IF(OR(B16="Standard DV/GP/HQ containers",B16="Standard DV/GP/HQ containers (with IMO goods)"),"Billable days 4 and over",IF(OR(B16="Refrigerated containers",B16="Refrigerated containers (with IMO goods)"),"Billable days 6 and over","-"))</f>
        <v>Billable days 4 and over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>
      <c r="A14" s="5" t="s">
        <v>43</v>
      </c>
      <c r="B14" s="2">
        <v>42287</v>
      </c>
      <c r="D14" s="13">
        <f>IF(B16="Standard DV/GP/HQ containers",IF(B20&gt;0,60,"-"),IF(B16="Standard DV/GP/HQ containers (with IMO goods)",IF(B20&gt;0,90,"-"),IF(B16="Refrigerated containers",IF(AND(B20&gt;=1,B20&lt;=3),38*B20,IF(B20&gt;3,38*3,"-")),IF(B16="Refrigerated containers (with IMO goods)",IF(AND(B20&gt;=1,B20&lt;=3),57*B20,IF(B20&gt;3,57*3,"-")),IF(B16="Standard DV/GP/HQ containers (awkward)",IF(B20&gt;0,B20*90,"-"),"-")))))</f>
        <v>60</v>
      </c>
      <c r="E14" s="13">
        <f>IF(B16="Standard DV/GP/HQ containers (awkward)","-",IF(B16="Standard DV/GP/HQ containers",IF(AND(B20&gt;=2,B20&lt;=3),24*(B20-1),IF(B20&gt;3,24*2,"-")),IF(B16="Standard DV/GP/HQ containers (with IMO goods)",IF(AND(B20&gt;=2,B20&lt;=3),36*(B20-1),IF(B20&gt;3,36*2,"-")),IF(B16="Refrigerated containers",IF(AND(B20&gt;=4,B20&lt;=5),60*(B20-3),60*2),IF(B16="Refrigerated containers (with IMO goods)",IF(AND(B20&gt;=4,B20&lt;=5),90*(B20-3),90*2))))))</f>
        <v>48</v>
      </c>
      <c r="F14" s="13">
        <f>IF(B16="Standard DV/GP/HQ containers",IF(B20&gt;=4,66*(B20-3),"-"),IF(B16="Standard DV/GP/HQ containers (with IMO goods)",IF(B20&gt;=4,99*(B20-3),"-"),IF(B16="Refrigerated containers",IF(B20&gt;=6,72*(B20-5),"-"),IF(B16="Refrigerated containers (with IMO goods)",IF(B20&gt;=6,108*(B20-5),"-"),"-"))))</f>
        <v>132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>
      <c r="A15" s="5" t="s">
        <v>15</v>
      </c>
      <c r="B15" s="3">
        <v>1</v>
      </c>
    </row>
    <row r="16" spans="1:19">
      <c r="A16" s="5" t="s">
        <v>16</v>
      </c>
      <c r="B16" s="4" t="s">
        <v>0</v>
      </c>
      <c r="D16" s="9" t="s">
        <v>17</v>
      </c>
      <c r="E16" s="9" t="s">
        <v>18</v>
      </c>
    </row>
    <row r="17" spans="1:5">
      <c r="D17" s="13">
        <f>MAX(D14)+MAX(E14)+MAX(F14)</f>
        <v>240</v>
      </c>
      <c r="E17" s="13">
        <f>D17*B15</f>
        <v>240</v>
      </c>
    </row>
    <row r="18" spans="1:5">
      <c r="A18" s="5" t="s">
        <v>19</v>
      </c>
      <c r="B18" s="13">
        <f>IF(B16="Standard DV/GP/HQ containers",5,IF(B16="Standard DV/GP/HQ containers (with IMO goods)",3,IF(B16="Refrigerated containers",0,IF(B16="Refrigerated containers (with IMO goods)",0,IF(B16="Standard DV/GP/HQ containers (awkward)",2,"-")))))</f>
        <v>5</v>
      </c>
    </row>
    <row r="19" spans="1:5">
      <c r="A19" s="5" t="s">
        <v>20</v>
      </c>
      <c r="B19" s="13">
        <f>IF((B14-B13+1)&lt;0,0,B14-B13+1)</f>
        <v>10</v>
      </c>
    </row>
    <row r="20" spans="1:5">
      <c r="A20" s="5" t="s">
        <v>21</v>
      </c>
      <c r="B20" s="13">
        <f>IF(B18&gt;B19,0,B19-B18)</f>
        <v>5</v>
      </c>
    </row>
    <row r="23" spans="1:5">
      <c r="A23" s="25" t="s">
        <v>36</v>
      </c>
      <c r="B23" s="25"/>
      <c r="C23" s="22"/>
      <c r="D23" s="22"/>
      <c r="E23" s="22"/>
    </row>
    <row r="24" spans="1:5">
      <c r="A24" s="25" t="s">
        <v>37</v>
      </c>
      <c r="B24" s="25"/>
      <c r="C24" s="22"/>
      <c r="D24" s="22"/>
      <c r="E24" s="22"/>
    </row>
    <row r="25" spans="1:5">
      <c r="A25" s="25" t="s">
        <v>38</v>
      </c>
      <c r="B25" s="25"/>
      <c r="C25" s="22"/>
      <c r="D25" s="22"/>
      <c r="E25" s="22"/>
    </row>
    <row r="26" spans="1:5">
      <c r="A26" s="25" t="s">
        <v>42</v>
      </c>
      <c r="B26" s="25"/>
      <c r="C26" s="22"/>
      <c r="D26" s="22"/>
      <c r="E26" s="22"/>
    </row>
    <row r="27" spans="1:5">
      <c r="A27" s="25" t="s">
        <v>39</v>
      </c>
      <c r="B27" s="25"/>
      <c r="C27" s="22"/>
      <c r="D27" s="22"/>
      <c r="E27" s="22"/>
    </row>
    <row r="28" spans="1:5">
      <c r="A28" s="22"/>
      <c r="B28" s="22"/>
      <c r="C28" s="22"/>
      <c r="D28" s="22"/>
      <c r="E28" s="22"/>
    </row>
    <row r="29" spans="1:5" ht="15.75">
      <c r="A29" s="24" t="s">
        <v>41</v>
      </c>
      <c r="B29" s="24"/>
      <c r="C29" s="24"/>
      <c r="D29" s="24"/>
      <c r="E29" s="24"/>
    </row>
  </sheetData>
  <sheetProtection password="DEA4" sheet="1" objects="1" scenarios="1"/>
  <mergeCells count="13">
    <mergeCell ref="Q4:R4"/>
    <mergeCell ref="K9:L9"/>
    <mergeCell ref="N9:O9"/>
    <mergeCell ref="A23:B23"/>
    <mergeCell ref="A12:B12"/>
    <mergeCell ref="D12:F12"/>
    <mergeCell ref="K4:L4"/>
    <mergeCell ref="N4:O4"/>
    <mergeCell ref="A29:E29"/>
    <mergeCell ref="A24:B24"/>
    <mergeCell ref="A25:B25"/>
    <mergeCell ref="A26:B26"/>
    <mergeCell ref="A27:B27"/>
  </mergeCells>
  <dataValidations count="1">
    <dataValidation type="list" allowBlank="1" showInputMessage="1" showErrorMessage="1" sqref="B16">
      <formula1>$K$1:$O$1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topLeftCell="A12" workbookViewId="0">
      <selection activeCell="B16" sqref="B16"/>
    </sheetView>
  </sheetViews>
  <sheetFormatPr defaultRowHeight="15"/>
  <cols>
    <col min="1" max="1" width="35.85546875" style="1" bestFit="1" customWidth="1"/>
    <col min="2" max="2" width="50.28515625" style="1" customWidth="1"/>
    <col min="3" max="3" width="9.140625" style="1"/>
    <col min="4" max="6" width="22.140625" style="1" bestFit="1" customWidth="1"/>
    <col min="7" max="16384" width="9.140625" style="1"/>
  </cols>
  <sheetData>
    <row r="1" spans="1:22" hidden="1">
      <c r="J1" s="15"/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  <c r="Q1" s="6"/>
      <c r="R1" s="6"/>
      <c r="S1" s="15"/>
      <c r="T1" s="15"/>
      <c r="U1" s="15"/>
      <c r="V1" s="15"/>
    </row>
    <row r="2" spans="1:22" hidden="1">
      <c r="J2" s="15"/>
      <c r="K2" s="6"/>
      <c r="L2" s="6"/>
      <c r="M2" s="6"/>
      <c r="N2" s="6"/>
      <c r="O2" s="6"/>
      <c r="P2" s="6"/>
      <c r="Q2" s="6"/>
      <c r="R2" s="6"/>
      <c r="S2" s="15"/>
      <c r="T2" s="15"/>
      <c r="U2" s="15"/>
      <c r="V2" s="15"/>
    </row>
    <row r="3" spans="1:22" hidden="1">
      <c r="J3" s="15"/>
      <c r="K3" s="6"/>
      <c r="L3" s="6"/>
      <c r="M3" s="6"/>
      <c r="N3" s="6"/>
      <c r="O3" s="6"/>
      <c r="P3" s="6"/>
      <c r="Q3" s="6"/>
      <c r="R3" s="6"/>
      <c r="S3" s="15"/>
      <c r="T3" s="15"/>
      <c r="U3" s="15"/>
      <c r="V3" s="15"/>
    </row>
    <row r="4" spans="1:22" hidden="1">
      <c r="J4" s="15"/>
      <c r="K4" s="26" t="s">
        <v>5</v>
      </c>
      <c r="L4" s="26"/>
      <c r="M4" s="6"/>
      <c r="N4" s="26" t="s">
        <v>6</v>
      </c>
      <c r="O4" s="26"/>
      <c r="P4" s="6"/>
      <c r="Q4" s="26" t="s">
        <v>7</v>
      </c>
      <c r="R4" s="26"/>
      <c r="S4" s="15"/>
      <c r="T4" s="15"/>
      <c r="U4" s="15"/>
      <c r="V4" s="15"/>
    </row>
    <row r="5" spans="1:22" hidden="1">
      <c r="J5" s="15"/>
      <c r="K5" s="7">
        <v>1</v>
      </c>
      <c r="L5" s="6">
        <v>60</v>
      </c>
      <c r="M5" s="6"/>
      <c r="N5" s="7">
        <v>1</v>
      </c>
      <c r="O5" s="8">
        <f>L5+L5*0.5</f>
        <v>90</v>
      </c>
      <c r="P5" s="6"/>
      <c r="Q5" s="6">
        <v>1</v>
      </c>
      <c r="R5" s="6">
        <v>90</v>
      </c>
      <c r="S5" s="15"/>
      <c r="T5" s="15"/>
      <c r="U5" s="15"/>
      <c r="V5" s="15"/>
    </row>
    <row r="6" spans="1:22" hidden="1">
      <c r="J6" s="15"/>
      <c r="K6" s="7" t="s">
        <v>8</v>
      </c>
      <c r="L6" s="6">
        <v>24</v>
      </c>
      <c r="M6" s="6"/>
      <c r="N6" s="7" t="s">
        <v>8</v>
      </c>
      <c r="O6" s="8">
        <f>L6+L6*0.5</f>
        <v>36</v>
      </c>
      <c r="P6" s="6"/>
      <c r="Q6" s="6"/>
      <c r="R6" s="6"/>
      <c r="S6" s="15"/>
      <c r="T6" s="15"/>
      <c r="U6" s="15"/>
      <c r="V6" s="15"/>
    </row>
    <row r="7" spans="1:22" hidden="1">
      <c r="J7" s="15"/>
      <c r="K7" s="7">
        <v>4</v>
      </c>
      <c r="L7" s="6">
        <v>66</v>
      </c>
      <c r="M7" s="6"/>
      <c r="N7" s="7">
        <v>4</v>
      </c>
      <c r="O7" s="8">
        <f>L7+L7*0.5</f>
        <v>99</v>
      </c>
      <c r="P7" s="6"/>
      <c r="Q7" s="6"/>
      <c r="R7" s="6"/>
      <c r="S7" s="15"/>
      <c r="T7" s="15"/>
      <c r="U7" s="15"/>
      <c r="V7" s="15"/>
    </row>
    <row r="8" spans="1:22" hidden="1">
      <c r="J8" s="15"/>
      <c r="K8" s="6"/>
      <c r="L8" s="6"/>
      <c r="M8" s="6"/>
      <c r="N8" s="6"/>
      <c r="O8" s="6"/>
      <c r="P8" s="6"/>
      <c r="Q8" s="6"/>
      <c r="R8" s="6"/>
      <c r="S8" s="15"/>
      <c r="T8" s="15"/>
      <c r="U8" s="15"/>
      <c r="V8" s="15"/>
    </row>
    <row r="9" spans="1:22" hidden="1">
      <c r="J9" s="15"/>
      <c r="K9" s="26" t="s">
        <v>9</v>
      </c>
      <c r="L9" s="26"/>
      <c r="M9" s="6"/>
      <c r="N9" s="26" t="s">
        <v>10</v>
      </c>
      <c r="O9" s="26"/>
      <c r="P9" s="6"/>
      <c r="Q9" s="6"/>
      <c r="R9" s="6"/>
      <c r="S9" s="15"/>
      <c r="T9" s="15"/>
      <c r="U9" s="15"/>
      <c r="V9" s="15"/>
    </row>
    <row r="10" spans="1:22" hidden="1">
      <c r="J10" s="15"/>
      <c r="K10" s="7" t="s">
        <v>11</v>
      </c>
      <c r="L10" s="6">
        <v>60</v>
      </c>
      <c r="M10" s="6"/>
      <c r="N10" s="7" t="s">
        <v>11</v>
      </c>
      <c r="O10" s="6">
        <f>L10+L10*0.5</f>
        <v>90</v>
      </c>
      <c r="P10" s="6"/>
      <c r="Q10" s="6"/>
      <c r="R10" s="6"/>
      <c r="S10" s="15"/>
      <c r="T10" s="15"/>
      <c r="U10" s="15"/>
      <c r="V10" s="15"/>
    </row>
    <row r="11" spans="1:22" hidden="1">
      <c r="J11" s="15"/>
      <c r="K11" s="7">
        <v>6</v>
      </c>
      <c r="L11" s="6">
        <v>72</v>
      </c>
      <c r="M11" s="6"/>
      <c r="N11" s="7">
        <v>6</v>
      </c>
      <c r="O11" s="6">
        <f>L11+L11*0.5</f>
        <v>108</v>
      </c>
      <c r="P11" s="6"/>
      <c r="Q11" s="6"/>
      <c r="R11" s="6"/>
      <c r="S11" s="15"/>
      <c r="T11" s="15"/>
      <c r="U11" s="15"/>
      <c r="V11" s="15"/>
    </row>
    <row r="12" spans="1:22" ht="15" customHeight="1">
      <c r="A12" s="27" t="s">
        <v>22</v>
      </c>
      <c r="B12" s="27"/>
      <c r="D12" s="28" t="s">
        <v>13</v>
      </c>
      <c r="E12" s="28"/>
      <c r="F12" s="2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>
      <c r="A13" s="5" t="s">
        <v>14</v>
      </c>
      <c r="B13" s="2">
        <v>42278</v>
      </c>
      <c r="D13" s="13" t="str">
        <f>IF(OR(B16="Standard DV/GP/HQ containers",B16="Standard DV/GP/HQ containers (with IMO goods)"),"Billable day 1",IF(OR(B16="Refrigerated containers",B16="Refrigerated containers (with IMO goods)"),"Billable days 1 to 3","Billable days 1 and over"))</f>
        <v>Billable days 1 and over</v>
      </c>
      <c r="E13" s="13" t="str">
        <f>IF(OR(B16="Standard DV/GP/HQ containers",B16="Standard DV/GP/HQ containers (with IMO goods)"),"Billable days 2 to 3",IF(OR(B16="Refrigerated containers",B16="Refrigerated containers (with IMO goods)"),"Billable days 4 to 5","-"))</f>
        <v>-</v>
      </c>
      <c r="F13" s="13" t="str">
        <f>IF(OR(B16="Standard DV/GP/HQ containers",B16="Standard DV/GP/HQ containers (with IMO goods)"),"Billable days 4 and over",IF(OR(B16="Refrigerated containers",B16="Refrigerated containers (with IMO goods)"),"Billable days 6 and over","-"))</f>
        <v>-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>
      <c r="A14" s="5" t="s">
        <v>43</v>
      </c>
      <c r="B14" s="2">
        <v>42287</v>
      </c>
      <c r="D14" s="13">
        <f>IF(B16="Standard DV/GP/HQ containers",IF(B20&gt;0,60,"-"),IF(B16="Standard DV/GP/HQ containers (with IMO goods)",IF(B20&gt;0,90,"-"),IF(B16="Refrigerated containers",IF(AND(B20&gt;=1,B20&lt;=3),38*B20,IF(B20&gt;3,38*3,"-")),IF(B16="Refrigerated containers (with IMO goods)",IF(AND(B20&gt;=1,B20&lt;=3),57*B20,IF(B20&gt;3,57*3,"-")),IF(B16="Standard DV/GP/HQ containers (awkward)",IF(B20&gt;0,B20*90,"-"),"-")))))</f>
        <v>720</v>
      </c>
      <c r="E14" s="13" t="str">
        <f>IF(B16="Standard DV/GP/HQ containers (awkward)","-",IF(B16="Standard DV/GP/HQ containers",IF(AND(B20&gt;=2,B20&lt;=3),24*(B20-1),IF(B20&gt;3,24*2,"-")),IF(B16="Standard DV/GP/HQ containers (with IMO goods)",IF(AND(B20&gt;=2,B20&lt;=3),36*(B20-1),IF(B20&gt;3,36*2,"-")),IF(B16="Refrigerated containers",IF(AND(B20&gt;=4,B20&lt;=5),60*(B20-3),IF(B20&gt;3,60*2,"-")),IF(B16="Refrigerated containers (with IMO goods)",IF(AND(B20&gt;=4,B20&lt;=5),90*(B20-3),IF(B20&gt;5,90*2,"-")),"-")))))</f>
        <v>-</v>
      </c>
      <c r="F14" s="13" t="str">
        <f>IF(B16="Standard DV/GP/HQ containers",IF(B20&gt;=4,66*(B20-3),"-"),IF(B16="Standard DV/GP/HQ containers (with IMO goods)",IF(B20&gt;=4,99*(B20-3),"-"),IF(B16="Refrigerated containers",IF(B20&gt;=6,72*(B20-5),"-"),IF(B16="Refrigerated containers (with IMO goods)",IF(B20&gt;=6,108*(B20-5),"-"),IF(B16="Standard DV/GP/HQ containers (awkward)","-","-")))))</f>
        <v>-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>
      <c r="A15" s="5" t="s">
        <v>15</v>
      </c>
      <c r="B15" s="3">
        <v>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>
      <c r="A16" s="5" t="s">
        <v>16</v>
      </c>
      <c r="B16" s="4" t="s">
        <v>4</v>
      </c>
      <c r="D16" s="9" t="s">
        <v>17</v>
      </c>
      <c r="E16" s="9" t="s">
        <v>18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5">
      <c r="D17" s="13">
        <f>MAX(D14)+MAX(E14)+MAX(F14)</f>
        <v>720</v>
      </c>
      <c r="E17" s="13">
        <f>D17*B15</f>
        <v>720</v>
      </c>
    </row>
    <row r="18" spans="1:5">
      <c r="A18" s="5" t="s">
        <v>19</v>
      </c>
      <c r="B18" s="13">
        <f>IF(B16="Standard DV/GP/HQ containers",5,IF(B16="Standard DV/GP/HQ containers (with IMO goods)",3,IF(B16="Refrigerated containers",0,IF(B16="Refrigerated containers (with IMO goods)",0,IF(B16="Standard DV/GP/HQ containers (awkward)",2,"-")))))</f>
        <v>2</v>
      </c>
    </row>
    <row r="19" spans="1:5">
      <c r="A19" s="5" t="s">
        <v>20</v>
      </c>
      <c r="B19" s="13">
        <f>IF((B14-B13+1)&lt;0,0,B14-B13+1)</f>
        <v>10</v>
      </c>
    </row>
    <row r="20" spans="1:5">
      <c r="A20" s="5" t="s">
        <v>21</v>
      </c>
      <c r="B20" s="13">
        <f>IF(B18&gt;B19,0,B19-B18)</f>
        <v>8</v>
      </c>
    </row>
    <row r="23" spans="1:5">
      <c r="A23" s="25" t="s">
        <v>36</v>
      </c>
      <c r="B23" s="25"/>
      <c r="C23" s="22"/>
      <c r="D23" s="22"/>
      <c r="E23" s="22"/>
    </row>
    <row r="24" spans="1:5">
      <c r="A24" s="25" t="s">
        <v>37</v>
      </c>
      <c r="B24" s="25"/>
      <c r="C24" s="22"/>
      <c r="D24" s="22"/>
      <c r="E24" s="22"/>
    </row>
    <row r="25" spans="1:5">
      <c r="A25" s="25" t="s">
        <v>38</v>
      </c>
      <c r="B25" s="25"/>
      <c r="C25" s="22"/>
      <c r="D25" s="22"/>
      <c r="E25" s="22"/>
    </row>
    <row r="26" spans="1:5">
      <c r="A26" s="25" t="s">
        <v>42</v>
      </c>
      <c r="B26" s="25"/>
      <c r="C26" s="22"/>
      <c r="D26" s="22"/>
      <c r="E26" s="22"/>
    </row>
    <row r="27" spans="1:5">
      <c r="A27" s="25" t="s">
        <v>39</v>
      </c>
      <c r="B27" s="25"/>
      <c r="C27" s="22"/>
      <c r="D27" s="22"/>
      <c r="E27" s="22"/>
    </row>
    <row r="28" spans="1:5">
      <c r="A28" s="22"/>
      <c r="B28" s="22"/>
      <c r="C28" s="22"/>
      <c r="D28" s="22"/>
      <c r="E28" s="22"/>
    </row>
    <row r="29" spans="1:5" ht="15.75">
      <c r="A29" s="24" t="s">
        <v>41</v>
      </c>
      <c r="B29" s="24"/>
      <c r="C29" s="24"/>
      <c r="D29" s="24"/>
      <c r="E29" s="24"/>
    </row>
  </sheetData>
  <sheetProtection password="DEA4" sheet="1" objects="1" scenarios="1"/>
  <mergeCells count="13">
    <mergeCell ref="A12:B12"/>
    <mergeCell ref="D12:F12"/>
    <mergeCell ref="K4:L4"/>
    <mergeCell ref="N4:O4"/>
    <mergeCell ref="Q4:R4"/>
    <mergeCell ref="K9:L9"/>
    <mergeCell ref="N9:O9"/>
    <mergeCell ref="A29:E29"/>
    <mergeCell ref="A23:B23"/>
    <mergeCell ref="A24:B24"/>
    <mergeCell ref="A25:B25"/>
    <mergeCell ref="A26:B26"/>
    <mergeCell ref="A27:B27"/>
  </mergeCells>
  <dataValidations count="1">
    <dataValidation type="list" allowBlank="1" showInputMessage="1" showErrorMessage="1" sqref="B16">
      <formula1>$K$1:$O$1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8"/>
  <sheetViews>
    <sheetView topLeftCell="A12" workbookViewId="0">
      <selection activeCell="F21" sqref="F21"/>
    </sheetView>
  </sheetViews>
  <sheetFormatPr defaultRowHeight="15"/>
  <cols>
    <col min="1" max="1" width="35.85546875" style="1" bestFit="1" customWidth="1"/>
    <col min="2" max="2" width="45.28515625" style="1" bestFit="1" customWidth="1"/>
    <col min="3" max="3" width="9.140625" style="1"/>
    <col min="4" max="6" width="22.140625" style="1" bestFit="1" customWidth="1"/>
    <col min="7" max="16384" width="9.140625" style="1"/>
  </cols>
  <sheetData>
    <row r="1" spans="1:21" hidden="1">
      <c r="J1" s="15"/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  <c r="Q1" s="6"/>
      <c r="R1" s="6"/>
      <c r="S1" s="15"/>
      <c r="T1" s="15"/>
      <c r="U1" s="15"/>
    </row>
    <row r="2" spans="1:21" hidden="1">
      <c r="J2" s="15"/>
      <c r="K2" s="6"/>
      <c r="L2" s="6"/>
      <c r="M2" s="6"/>
      <c r="N2" s="6"/>
      <c r="O2" s="6"/>
      <c r="P2" s="6"/>
      <c r="Q2" s="6"/>
      <c r="R2" s="6"/>
      <c r="S2" s="15"/>
      <c r="T2" s="15"/>
      <c r="U2" s="15"/>
    </row>
    <row r="3" spans="1:21" hidden="1">
      <c r="J3" s="15"/>
      <c r="K3" s="6"/>
      <c r="L3" s="6"/>
      <c r="M3" s="6"/>
      <c r="N3" s="6"/>
      <c r="O3" s="6"/>
      <c r="P3" s="6"/>
      <c r="Q3" s="6"/>
      <c r="R3" s="6"/>
      <c r="S3" s="15"/>
      <c r="T3" s="15"/>
      <c r="U3" s="15"/>
    </row>
    <row r="4" spans="1:21" hidden="1">
      <c r="J4" s="15"/>
      <c r="K4" s="26" t="s">
        <v>5</v>
      </c>
      <c r="L4" s="26"/>
      <c r="M4" s="6"/>
      <c r="N4" s="26" t="s">
        <v>6</v>
      </c>
      <c r="O4" s="26"/>
      <c r="P4" s="6"/>
      <c r="Q4" s="26" t="s">
        <v>7</v>
      </c>
      <c r="R4" s="26"/>
      <c r="S4" s="15"/>
      <c r="T4" s="15"/>
      <c r="U4" s="15"/>
    </row>
    <row r="5" spans="1:21" hidden="1">
      <c r="J5" s="15"/>
      <c r="K5" s="7">
        <v>1</v>
      </c>
      <c r="L5" s="6">
        <v>60</v>
      </c>
      <c r="M5" s="6"/>
      <c r="N5" s="7">
        <v>1</v>
      </c>
      <c r="O5" s="8">
        <f>L5+L5*0.5</f>
        <v>90</v>
      </c>
      <c r="P5" s="6"/>
      <c r="Q5" s="6">
        <v>1</v>
      </c>
      <c r="R5" s="6">
        <v>90</v>
      </c>
      <c r="S5" s="15"/>
      <c r="T5" s="15"/>
      <c r="U5" s="15"/>
    </row>
    <row r="6" spans="1:21" hidden="1">
      <c r="J6" s="15"/>
      <c r="K6" s="7" t="s">
        <v>8</v>
      </c>
      <c r="L6" s="6">
        <v>24</v>
      </c>
      <c r="M6" s="6"/>
      <c r="N6" s="7" t="s">
        <v>8</v>
      </c>
      <c r="O6" s="8">
        <f>L6+L6*0.5</f>
        <v>36</v>
      </c>
      <c r="P6" s="6"/>
      <c r="Q6" s="6"/>
      <c r="R6" s="6"/>
      <c r="S6" s="15"/>
      <c r="T6" s="15"/>
      <c r="U6" s="15"/>
    </row>
    <row r="7" spans="1:21" hidden="1">
      <c r="J7" s="15"/>
      <c r="K7" s="7">
        <v>4</v>
      </c>
      <c r="L7" s="6">
        <v>66</v>
      </c>
      <c r="M7" s="6"/>
      <c r="N7" s="7">
        <v>4</v>
      </c>
      <c r="O7" s="8">
        <f>L7+L7*0.5</f>
        <v>99</v>
      </c>
      <c r="P7" s="6"/>
      <c r="Q7" s="6"/>
      <c r="R7" s="6"/>
      <c r="S7" s="15"/>
      <c r="T7" s="15"/>
      <c r="U7" s="15"/>
    </row>
    <row r="8" spans="1:21" hidden="1">
      <c r="J8" s="15"/>
      <c r="K8" s="6"/>
      <c r="L8" s="6"/>
      <c r="M8" s="6"/>
      <c r="N8" s="6"/>
      <c r="O8" s="6"/>
      <c r="P8" s="6"/>
      <c r="Q8" s="6"/>
      <c r="R8" s="6"/>
      <c r="S8" s="15"/>
      <c r="T8" s="15"/>
      <c r="U8" s="15"/>
    </row>
    <row r="9" spans="1:21" hidden="1">
      <c r="J9" s="15"/>
      <c r="K9" s="26" t="s">
        <v>9</v>
      </c>
      <c r="L9" s="26"/>
      <c r="M9" s="6"/>
      <c r="N9" s="26" t="s">
        <v>10</v>
      </c>
      <c r="O9" s="26"/>
      <c r="P9" s="6"/>
      <c r="Q9" s="6"/>
      <c r="R9" s="6"/>
      <c r="S9" s="15"/>
      <c r="T9" s="15"/>
      <c r="U9" s="15"/>
    </row>
    <row r="10" spans="1:21" hidden="1">
      <c r="J10" s="15"/>
      <c r="K10" s="7" t="s">
        <v>11</v>
      </c>
      <c r="L10" s="6">
        <v>60</v>
      </c>
      <c r="M10" s="6"/>
      <c r="N10" s="7" t="s">
        <v>11</v>
      </c>
      <c r="O10" s="6">
        <f>L10+L10*0.5</f>
        <v>90</v>
      </c>
      <c r="P10" s="6"/>
      <c r="Q10" s="6"/>
      <c r="R10" s="6"/>
      <c r="S10" s="15"/>
      <c r="T10" s="15"/>
      <c r="U10" s="15"/>
    </row>
    <row r="11" spans="1:21" hidden="1">
      <c r="J11" s="15"/>
      <c r="K11" s="7">
        <v>6</v>
      </c>
      <c r="L11" s="6">
        <v>72</v>
      </c>
      <c r="M11" s="6"/>
      <c r="N11" s="7">
        <v>6</v>
      </c>
      <c r="O11" s="6">
        <f>L11+L11*0.5</f>
        <v>108</v>
      </c>
      <c r="P11" s="6"/>
      <c r="Q11" s="6"/>
      <c r="R11" s="6"/>
      <c r="S11" s="15"/>
      <c r="T11" s="15"/>
      <c r="U11" s="15"/>
    </row>
    <row r="12" spans="1:21" ht="15.75">
      <c r="A12" s="27" t="s">
        <v>23</v>
      </c>
      <c r="B12" s="27"/>
      <c r="D12" s="28" t="s">
        <v>13</v>
      </c>
      <c r="E12" s="28"/>
      <c r="F12" s="2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5" t="s">
        <v>14</v>
      </c>
      <c r="B13" s="2">
        <v>42278</v>
      </c>
      <c r="D13" s="13" t="s">
        <v>24</v>
      </c>
      <c r="E13" s="13" t="s">
        <v>25</v>
      </c>
      <c r="F13" s="13" t="s">
        <v>26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5" t="s">
        <v>43</v>
      </c>
      <c r="B14" s="2">
        <v>42297</v>
      </c>
      <c r="D14" s="13">
        <f>IF(AND(B19&gt;=1,B19&lt;=4),8.46*B19,IF(B19&gt;4,8.46*4,"-"))</f>
        <v>33.840000000000003</v>
      </c>
      <c r="E14" s="13">
        <f>IF(AND(B19&gt;=5,B19&lt;=8),12.7*(B19-4),IF(B19&gt;8,12.7*4,"-"))</f>
        <v>50.8</v>
      </c>
      <c r="F14" s="13">
        <f>IF(B19&gt;=9,26.45*(B19-8),"-")</f>
        <v>132.25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5" t="s">
        <v>15</v>
      </c>
      <c r="B15" s="3">
        <v>1</v>
      </c>
    </row>
    <row r="16" spans="1:21">
      <c r="D16" s="9" t="s">
        <v>17</v>
      </c>
      <c r="E16" s="9" t="s">
        <v>18</v>
      </c>
    </row>
    <row r="17" spans="1:5">
      <c r="A17" s="5" t="s">
        <v>19</v>
      </c>
      <c r="B17" s="13">
        <v>7</v>
      </c>
      <c r="D17" s="13">
        <f>MAX(D14)+MAX(E14)+MAX(F14)</f>
        <v>216.89</v>
      </c>
      <c r="E17" s="13">
        <f>D17*B15</f>
        <v>216.89</v>
      </c>
    </row>
    <row r="18" spans="1:5">
      <c r="A18" s="5" t="s">
        <v>20</v>
      </c>
      <c r="B18" s="13">
        <f>IF((B14-B13+1)&lt;0,0,B14-B13+1)</f>
        <v>20</v>
      </c>
    </row>
    <row r="19" spans="1:5">
      <c r="A19" s="5" t="s">
        <v>21</v>
      </c>
      <c r="B19" s="13">
        <f>IF(B17&gt;B18,0,B18-B17)</f>
        <v>13</v>
      </c>
    </row>
    <row r="23" spans="1:5">
      <c r="A23" s="25" t="s">
        <v>36</v>
      </c>
      <c r="B23" s="25"/>
      <c r="C23" s="22"/>
      <c r="D23" s="22"/>
      <c r="E23" s="22"/>
    </row>
    <row r="24" spans="1:5">
      <c r="A24" s="25" t="s">
        <v>37</v>
      </c>
      <c r="B24" s="25"/>
      <c r="C24" s="22"/>
      <c r="D24" s="22"/>
      <c r="E24" s="22"/>
    </row>
    <row r="25" spans="1:5">
      <c r="A25" s="25" t="s">
        <v>38</v>
      </c>
      <c r="B25" s="25"/>
      <c r="C25" s="22"/>
      <c r="D25" s="22"/>
      <c r="E25" s="22"/>
    </row>
    <row r="26" spans="1:5">
      <c r="A26" s="25" t="s">
        <v>40</v>
      </c>
      <c r="B26" s="25"/>
      <c r="C26" s="22"/>
      <c r="D26" s="22"/>
      <c r="E26" s="22"/>
    </row>
    <row r="27" spans="1:5">
      <c r="A27" s="22"/>
      <c r="B27" s="22"/>
      <c r="C27" s="22"/>
      <c r="D27" s="22"/>
      <c r="E27" s="22"/>
    </row>
    <row r="28" spans="1:5" ht="15.75">
      <c r="A28" s="24" t="s">
        <v>41</v>
      </c>
      <c r="B28" s="24"/>
      <c r="C28" s="24"/>
      <c r="D28" s="24"/>
      <c r="E28" s="24"/>
    </row>
  </sheetData>
  <sheetProtection password="DEA4" sheet="1" objects="1" scenarios="1"/>
  <mergeCells count="12">
    <mergeCell ref="A12:B12"/>
    <mergeCell ref="D12:F12"/>
    <mergeCell ref="K4:L4"/>
    <mergeCell ref="N4:O4"/>
    <mergeCell ref="Q4:R4"/>
    <mergeCell ref="K9:L9"/>
    <mergeCell ref="N9:O9"/>
    <mergeCell ref="A28:E28"/>
    <mergeCell ref="A23:B23"/>
    <mergeCell ref="A24:B24"/>
    <mergeCell ref="A25:B25"/>
    <mergeCell ref="A26:B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topLeftCell="A12" workbookViewId="0">
      <selection activeCell="C22" sqref="C22"/>
    </sheetView>
  </sheetViews>
  <sheetFormatPr defaultRowHeight="15"/>
  <cols>
    <col min="1" max="1" width="35.85546875" style="1" bestFit="1" customWidth="1"/>
    <col min="2" max="2" width="50.28515625" style="1" customWidth="1"/>
    <col min="3" max="3" width="9.140625" style="1"/>
    <col min="4" max="4" width="22.140625" style="1" bestFit="1" customWidth="1"/>
    <col min="5" max="5" width="23.140625" style="1" bestFit="1" customWidth="1"/>
    <col min="6" max="6" width="22.140625" style="1" bestFit="1" customWidth="1"/>
    <col min="7" max="16384" width="9.140625" style="1"/>
  </cols>
  <sheetData>
    <row r="1" spans="1:20" hidden="1">
      <c r="H1" s="15"/>
      <c r="I1" s="15"/>
      <c r="J1" s="15"/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  <c r="Q1" s="6"/>
      <c r="R1" s="6"/>
      <c r="S1" s="15"/>
      <c r="T1" s="15"/>
    </row>
    <row r="2" spans="1:20" hidden="1">
      <c r="H2" s="15"/>
      <c r="I2" s="15"/>
      <c r="J2" s="15"/>
      <c r="K2" s="6"/>
      <c r="L2" s="6"/>
      <c r="M2" s="6"/>
      <c r="N2" s="6"/>
      <c r="O2" s="6"/>
      <c r="P2" s="6"/>
      <c r="Q2" s="6"/>
      <c r="R2" s="6"/>
      <c r="S2" s="15"/>
      <c r="T2" s="15"/>
    </row>
    <row r="3" spans="1:20" hidden="1">
      <c r="H3" s="15"/>
      <c r="I3" s="15"/>
      <c r="J3" s="15"/>
      <c r="K3" s="6"/>
      <c r="L3" s="6"/>
      <c r="M3" s="6"/>
      <c r="N3" s="6"/>
      <c r="O3" s="6"/>
      <c r="P3" s="6"/>
      <c r="Q3" s="6"/>
      <c r="R3" s="6"/>
      <c r="S3" s="15"/>
      <c r="T3" s="15"/>
    </row>
    <row r="4" spans="1:20" hidden="1">
      <c r="H4" s="15"/>
      <c r="I4" s="15"/>
      <c r="J4" s="15"/>
      <c r="K4" s="26" t="s">
        <v>5</v>
      </c>
      <c r="L4" s="26"/>
      <c r="M4" s="6"/>
      <c r="N4" s="26" t="s">
        <v>6</v>
      </c>
      <c r="O4" s="26"/>
      <c r="P4" s="6"/>
      <c r="Q4" s="26" t="s">
        <v>7</v>
      </c>
      <c r="R4" s="26"/>
      <c r="S4" s="15"/>
      <c r="T4" s="15"/>
    </row>
    <row r="5" spans="1:20" hidden="1">
      <c r="H5" s="15"/>
      <c r="I5" s="15"/>
      <c r="J5" s="15"/>
      <c r="K5" s="12"/>
      <c r="L5" s="6">
        <v>16</v>
      </c>
      <c r="M5" s="6"/>
      <c r="N5" s="7"/>
      <c r="O5" s="8">
        <f>L5+L5*0.25</f>
        <v>20</v>
      </c>
      <c r="P5" s="6"/>
      <c r="Q5" s="6">
        <v>1</v>
      </c>
      <c r="R5" s="6">
        <v>90</v>
      </c>
      <c r="S5" s="15"/>
      <c r="T5" s="15"/>
    </row>
    <row r="6" spans="1:20" hidden="1">
      <c r="H6" s="15"/>
      <c r="I6" s="15"/>
      <c r="J6" s="15"/>
      <c r="K6" s="7">
        <v>20</v>
      </c>
      <c r="L6" s="6">
        <v>40</v>
      </c>
      <c r="M6" s="6"/>
      <c r="N6" s="7">
        <v>20</v>
      </c>
      <c r="O6" s="8">
        <f>L6+L6*0.25</f>
        <v>50</v>
      </c>
      <c r="P6" s="6"/>
      <c r="Q6" s="6"/>
      <c r="R6" s="6"/>
      <c r="S6" s="15"/>
      <c r="T6" s="15"/>
    </row>
    <row r="7" spans="1:20" hidden="1">
      <c r="H7" s="15"/>
      <c r="I7" s="15"/>
      <c r="J7" s="15"/>
      <c r="K7" s="7"/>
      <c r="L7" s="6"/>
      <c r="M7" s="6"/>
      <c r="N7" s="7"/>
      <c r="O7" s="8"/>
      <c r="P7" s="6"/>
      <c r="Q7" s="6"/>
      <c r="R7" s="6"/>
      <c r="S7" s="15"/>
      <c r="T7" s="15"/>
    </row>
    <row r="8" spans="1:20" hidden="1">
      <c r="H8" s="15"/>
      <c r="I8" s="15"/>
      <c r="J8" s="15"/>
      <c r="K8" s="6"/>
      <c r="L8" s="6"/>
      <c r="M8" s="6"/>
      <c r="N8" s="6"/>
      <c r="O8" s="6"/>
      <c r="P8" s="6"/>
      <c r="Q8" s="6"/>
      <c r="R8" s="6"/>
      <c r="S8" s="15"/>
      <c r="T8" s="15"/>
    </row>
    <row r="9" spans="1:20" hidden="1">
      <c r="H9" s="15"/>
      <c r="I9" s="15"/>
      <c r="J9" s="15"/>
      <c r="K9" s="26" t="s">
        <v>9</v>
      </c>
      <c r="L9" s="26"/>
      <c r="M9" s="6"/>
      <c r="N9" s="26" t="s">
        <v>10</v>
      </c>
      <c r="O9" s="26"/>
      <c r="P9" s="6"/>
      <c r="Q9" s="6"/>
      <c r="R9" s="6"/>
      <c r="S9" s="15"/>
      <c r="T9" s="15"/>
    </row>
    <row r="10" spans="1:20" hidden="1">
      <c r="H10" s="15"/>
      <c r="I10" s="15"/>
      <c r="J10" s="15"/>
      <c r="K10" s="7">
        <v>1</v>
      </c>
      <c r="L10" s="6">
        <v>48</v>
      </c>
      <c r="M10" s="6"/>
      <c r="N10" s="7">
        <v>1</v>
      </c>
      <c r="O10" s="6">
        <f>L10+L10*0.25</f>
        <v>60</v>
      </c>
      <c r="P10" s="6"/>
      <c r="Q10" s="6"/>
      <c r="R10" s="6"/>
      <c r="S10" s="15"/>
      <c r="T10" s="15"/>
    </row>
    <row r="11" spans="1:20" hidden="1">
      <c r="H11" s="15"/>
      <c r="I11" s="15"/>
      <c r="J11" s="15"/>
      <c r="K11" s="7"/>
      <c r="L11" s="6"/>
      <c r="M11" s="6"/>
      <c r="N11" s="7"/>
      <c r="O11" s="6"/>
      <c r="P11" s="6"/>
      <c r="Q11" s="6"/>
      <c r="R11" s="6"/>
      <c r="S11" s="15"/>
      <c r="T11" s="15"/>
    </row>
    <row r="12" spans="1:20" ht="15.75">
      <c r="A12" s="27" t="s">
        <v>27</v>
      </c>
      <c r="B12" s="27"/>
      <c r="D12" s="28" t="s">
        <v>13</v>
      </c>
      <c r="E12" s="28"/>
      <c r="F12" s="16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5" t="s">
        <v>14</v>
      </c>
      <c r="B13" s="2">
        <v>42278</v>
      </c>
      <c r="D13" s="13" t="str">
        <f>IF(OR(B16="Standard DV/GP/HQ containers",B16="Standard DV/GP/HQ containers (with IMO goods)"),"Billable days 1 to 19",IF(OR(B16="Refrigerated containers",B16="Refrigerated containers (with IMO goods)"),"Billable days 1 to 3","Billable days 1 and over"))</f>
        <v>Billable days 1 and over</v>
      </c>
      <c r="E13" s="13" t="str">
        <f>IF(OR(B16="Standard DV/GP/HQ containers",B16="Standard DV/GP/HQ containers (with IMO goods)"),"Billable days 20 and over",IF(OR(B16="Refrigerated containers",B16="Refrigerated containers (with IMO goods)"),"Billable days 4 and over","-"))</f>
        <v>-</v>
      </c>
      <c r="F13" s="1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>
      <c r="A14" s="5" t="s">
        <v>43</v>
      </c>
      <c r="B14" s="2">
        <v>42309</v>
      </c>
      <c r="D14" s="13">
        <f>IF(B16="Standard DV/GP/HQ containers (awkward)",IF(B20&gt;0,B20*90,"-"),IF(B16="Standard DV/GP/HQ containers",IF(AND(B20&gt;=1,B20&lt;=19),16*B20,IF(B20&gt;19,16*19,"-")),IF(B16="Standard DV/GP/HQ containers (with IMO goods)",IF(AND(B20&gt;=1,B20&lt;=19),20*B20,IF(B20&gt;19,20*19,"-")),IF(B16="Refrigerated containers",IF(AND(B20&gt;=1,B20&lt;=3),38*B20,IF(B20&gt;3,38*3,"-")),IF(B16="Refrigerated containers (with IMO goods)",IF(AND(B20&gt;=1,B20&lt;=3),47.5*B20,IF(B20&gt;3,47.5*3,"-")),"-")))))</f>
        <v>2700</v>
      </c>
      <c r="E14" s="13" t="str">
        <f>IF(B16="Standard DV/GP/HQ containers",IF(B20&gt;=20,40*(B20-19),"-"),IF(B16="Standard DV/GP/HQ containers (with IMO goods)",IF(B20&gt;=20,50*(B20-19),"-"),IF(B16="Refrigerated containers",IF(B20&gt;=4,48*(B20-3),"-"),IF(B16="Refrigerated containers (with IMO goods)",IF(B20&gt;=4,60*(B20-3),"-"),"-"))))</f>
        <v>-</v>
      </c>
      <c r="F14" s="1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>
      <c r="A15" s="5" t="s">
        <v>15</v>
      </c>
      <c r="B15" s="3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>
      <c r="A16" s="5" t="s">
        <v>16</v>
      </c>
      <c r="B16" s="4" t="s">
        <v>4</v>
      </c>
      <c r="D16" s="9" t="s">
        <v>17</v>
      </c>
      <c r="E16" s="9" t="s">
        <v>18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>
      <c r="D17" s="13">
        <f>MAX(D14)+MAX(E14)</f>
        <v>2700</v>
      </c>
      <c r="E17" s="13">
        <f>D17*B15</f>
        <v>2700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>
      <c r="A18" s="5" t="s">
        <v>19</v>
      </c>
      <c r="B18" s="13">
        <f>IF(B16="Standard DV/GP/HQ containers",10,IF(B16="Standard DV/GP/HQ containers (with IMO goods)",3,IF(B16="Refrigerated containers",0,IF(B16="Refrigerated containers (with IMO goods)",0,IF(B16="Standard DV/GP/HQ containers (awkward)",2,"-")))))</f>
        <v>2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>
      <c r="A19" s="5" t="s">
        <v>20</v>
      </c>
      <c r="B19" s="13">
        <f>IF((B14-B13+1)&lt;0,0,B14-B13+1)</f>
        <v>32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>
      <c r="A20" s="5" t="s">
        <v>21</v>
      </c>
      <c r="B20" s="13">
        <f>IF(B18&gt;B19,0,B19-B18)</f>
        <v>30</v>
      </c>
    </row>
    <row r="23" spans="1:20">
      <c r="A23" s="25" t="s">
        <v>36</v>
      </c>
      <c r="B23" s="25"/>
      <c r="C23" s="22"/>
      <c r="D23" s="22"/>
      <c r="E23" s="22"/>
    </row>
    <row r="24" spans="1:20">
      <c r="A24" s="25" t="s">
        <v>37</v>
      </c>
      <c r="B24" s="25"/>
      <c r="C24" s="22"/>
      <c r="D24" s="22"/>
      <c r="E24" s="22"/>
    </row>
    <row r="25" spans="1:20">
      <c r="A25" s="25" t="s">
        <v>38</v>
      </c>
      <c r="B25" s="25"/>
      <c r="C25" s="22"/>
      <c r="D25" s="22"/>
      <c r="E25" s="22"/>
    </row>
    <row r="26" spans="1:20">
      <c r="A26" s="25" t="s">
        <v>42</v>
      </c>
      <c r="B26" s="25"/>
      <c r="C26" s="22"/>
      <c r="D26" s="22"/>
      <c r="E26" s="22"/>
    </row>
    <row r="27" spans="1:20">
      <c r="A27" s="25" t="s">
        <v>39</v>
      </c>
      <c r="B27" s="25"/>
      <c r="C27" s="22"/>
      <c r="D27" s="22"/>
      <c r="E27" s="22"/>
    </row>
    <row r="28" spans="1:20">
      <c r="A28" s="22"/>
      <c r="B28" s="22"/>
      <c r="C28" s="22"/>
      <c r="D28" s="22"/>
      <c r="E28" s="22"/>
    </row>
    <row r="29" spans="1:20" ht="15.75">
      <c r="A29" s="24" t="s">
        <v>41</v>
      </c>
      <c r="B29" s="24"/>
      <c r="C29" s="24"/>
      <c r="D29" s="24"/>
      <c r="E29" s="24"/>
    </row>
  </sheetData>
  <sheetProtection password="DEA4" sheet="1" objects="1" scenarios="1"/>
  <mergeCells count="13">
    <mergeCell ref="A12:B12"/>
    <mergeCell ref="D12:E12"/>
    <mergeCell ref="K4:L4"/>
    <mergeCell ref="N4:O4"/>
    <mergeCell ref="Q4:R4"/>
    <mergeCell ref="K9:L9"/>
    <mergeCell ref="N9:O9"/>
    <mergeCell ref="A29:E29"/>
    <mergeCell ref="A23:B23"/>
    <mergeCell ref="A24:B24"/>
    <mergeCell ref="A25:B25"/>
    <mergeCell ref="A26:B26"/>
    <mergeCell ref="A27:B27"/>
  </mergeCells>
  <dataValidations count="1">
    <dataValidation type="list" allowBlank="1" showInputMessage="1" showErrorMessage="1" sqref="B16">
      <formula1>$K$1:$O$1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9"/>
  <sheetViews>
    <sheetView topLeftCell="A12" workbookViewId="0">
      <selection activeCell="D25" sqref="D25"/>
    </sheetView>
  </sheetViews>
  <sheetFormatPr defaultRowHeight="15"/>
  <cols>
    <col min="1" max="1" width="35.85546875" style="1" bestFit="1" customWidth="1"/>
    <col min="2" max="2" width="50.85546875" style="1" customWidth="1"/>
    <col min="3" max="3" width="9.140625" style="1"/>
    <col min="4" max="6" width="22.140625" style="1" bestFit="1" customWidth="1"/>
    <col min="7" max="7" width="19.5703125" style="1" bestFit="1" customWidth="1"/>
    <col min="8" max="8" width="23.140625" style="1" bestFit="1" customWidth="1"/>
    <col min="9" max="16384" width="9.140625" style="1"/>
  </cols>
  <sheetData>
    <row r="1" spans="1:22" hidden="1">
      <c r="I1" s="15"/>
      <c r="J1" s="15"/>
      <c r="K1" s="6" t="s">
        <v>0</v>
      </c>
      <c r="L1" s="6" t="s">
        <v>1</v>
      </c>
      <c r="M1" s="6" t="s">
        <v>2</v>
      </c>
      <c r="N1" s="6" t="s">
        <v>3</v>
      </c>
      <c r="O1" s="6" t="s">
        <v>4</v>
      </c>
      <c r="P1" s="6"/>
      <c r="Q1" s="6"/>
      <c r="R1" s="6"/>
      <c r="S1" s="15"/>
      <c r="T1" s="15"/>
      <c r="U1" s="15"/>
      <c r="V1" s="15"/>
    </row>
    <row r="2" spans="1:22" hidden="1">
      <c r="I2" s="15"/>
      <c r="J2" s="15"/>
      <c r="K2" s="6"/>
      <c r="L2" s="6"/>
      <c r="M2" s="6"/>
      <c r="N2" s="6"/>
      <c r="O2" s="6"/>
      <c r="P2" s="6"/>
      <c r="Q2" s="6"/>
      <c r="R2" s="6"/>
      <c r="S2" s="15"/>
      <c r="T2" s="15"/>
      <c r="U2" s="15"/>
      <c r="V2" s="15"/>
    </row>
    <row r="3" spans="1:22" hidden="1">
      <c r="I3" s="15"/>
      <c r="J3" s="15"/>
      <c r="K3" s="26" t="s">
        <v>5</v>
      </c>
      <c r="L3" s="26"/>
      <c r="M3" s="6"/>
      <c r="N3" s="26" t="s">
        <v>6</v>
      </c>
      <c r="O3" s="26"/>
      <c r="P3" s="6"/>
      <c r="Q3" s="26" t="s">
        <v>7</v>
      </c>
      <c r="R3" s="26"/>
      <c r="S3" s="15"/>
      <c r="T3" s="15"/>
      <c r="U3" s="15"/>
      <c r="V3" s="15"/>
    </row>
    <row r="4" spans="1:22" hidden="1">
      <c r="I4" s="15"/>
      <c r="J4" s="15"/>
      <c r="K4" s="7" t="s">
        <v>29</v>
      </c>
      <c r="L4" s="6">
        <v>18</v>
      </c>
      <c r="M4" s="6"/>
      <c r="N4" s="7" t="s">
        <v>29</v>
      </c>
      <c r="O4" s="8">
        <f>L4+L4*0.5</f>
        <v>27</v>
      </c>
      <c r="P4" s="6"/>
      <c r="Q4" s="6">
        <v>1</v>
      </c>
      <c r="R4" s="6">
        <v>77.5</v>
      </c>
      <c r="S4" s="15"/>
      <c r="T4" s="15"/>
      <c r="U4" s="15"/>
      <c r="V4" s="15"/>
    </row>
    <row r="5" spans="1:22" hidden="1">
      <c r="I5" s="15"/>
      <c r="J5" s="15"/>
      <c r="K5" s="7" t="s">
        <v>30</v>
      </c>
      <c r="L5" s="6">
        <v>22</v>
      </c>
      <c r="M5" s="6"/>
      <c r="N5" s="7" t="s">
        <v>30</v>
      </c>
      <c r="O5" s="8">
        <f t="shared" ref="O5:O8" si="0">L5+L5*0.5</f>
        <v>33</v>
      </c>
      <c r="P5" s="6"/>
      <c r="Q5" s="6"/>
      <c r="R5" s="6"/>
      <c r="S5" s="15"/>
      <c r="T5" s="15"/>
      <c r="U5" s="15"/>
      <c r="V5" s="15"/>
    </row>
    <row r="6" spans="1:22" hidden="1">
      <c r="I6" s="15"/>
      <c r="J6" s="15"/>
      <c r="K6" s="7"/>
      <c r="L6" s="6">
        <v>42</v>
      </c>
      <c r="M6" s="6"/>
      <c r="N6" s="7"/>
      <c r="O6" s="8">
        <f t="shared" si="0"/>
        <v>63</v>
      </c>
      <c r="P6" s="6"/>
      <c r="Q6" s="6"/>
      <c r="R6" s="6"/>
      <c r="S6" s="15"/>
      <c r="T6" s="15"/>
      <c r="U6" s="15"/>
      <c r="V6" s="15"/>
    </row>
    <row r="7" spans="1:22" hidden="1">
      <c r="I7" s="15"/>
      <c r="J7" s="15"/>
      <c r="K7" s="7" t="s">
        <v>31</v>
      </c>
      <c r="L7" s="6">
        <v>36</v>
      </c>
      <c r="M7" s="6"/>
      <c r="N7" s="7" t="s">
        <v>31</v>
      </c>
      <c r="O7" s="8">
        <f t="shared" si="0"/>
        <v>54</v>
      </c>
      <c r="P7" s="6"/>
      <c r="Q7" s="6"/>
      <c r="R7" s="6"/>
      <c r="S7" s="15"/>
      <c r="T7" s="15"/>
      <c r="U7" s="15"/>
      <c r="V7" s="15"/>
    </row>
    <row r="8" spans="1:22" hidden="1">
      <c r="I8" s="15"/>
      <c r="J8" s="15"/>
      <c r="K8" s="18">
        <v>61</v>
      </c>
      <c r="L8" s="19">
        <v>22</v>
      </c>
      <c r="M8" s="19"/>
      <c r="N8" s="18">
        <v>61</v>
      </c>
      <c r="O8" s="8">
        <f t="shared" si="0"/>
        <v>33</v>
      </c>
      <c r="P8" s="6"/>
      <c r="Q8" s="6"/>
      <c r="R8" s="6"/>
      <c r="S8" s="15"/>
      <c r="T8" s="15"/>
      <c r="U8" s="15"/>
      <c r="V8" s="15"/>
    </row>
    <row r="9" spans="1:22" hidden="1">
      <c r="I9" s="15"/>
      <c r="J9" s="15"/>
      <c r="K9" s="19"/>
      <c r="L9" s="19"/>
      <c r="M9" s="19"/>
      <c r="N9" s="19"/>
      <c r="O9" s="19"/>
      <c r="P9" s="6"/>
      <c r="Q9" s="6"/>
      <c r="R9" s="6"/>
      <c r="S9" s="15"/>
      <c r="T9" s="15"/>
      <c r="U9" s="15"/>
      <c r="V9" s="15"/>
    </row>
    <row r="10" spans="1:22" hidden="1">
      <c r="I10" s="15"/>
      <c r="J10" s="15"/>
      <c r="K10" s="26" t="s">
        <v>9</v>
      </c>
      <c r="L10" s="26"/>
      <c r="M10" s="6"/>
      <c r="N10" s="26" t="s">
        <v>10</v>
      </c>
      <c r="O10" s="26"/>
      <c r="P10" s="6"/>
      <c r="Q10" s="6"/>
      <c r="R10" s="6"/>
      <c r="S10" s="15"/>
      <c r="T10" s="15"/>
      <c r="U10" s="15"/>
      <c r="V10" s="15"/>
    </row>
    <row r="11" spans="1:22" hidden="1">
      <c r="I11" s="15"/>
      <c r="J11" s="15"/>
      <c r="K11" s="7">
        <v>1</v>
      </c>
      <c r="L11" s="6">
        <v>56</v>
      </c>
      <c r="M11" s="6"/>
      <c r="N11" s="7">
        <v>1</v>
      </c>
      <c r="O11" s="6">
        <f>L11+L11*0.5</f>
        <v>84</v>
      </c>
      <c r="P11" s="19"/>
      <c r="Q11" s="19"/>
      <c r="R11" s="19"/>
      <c r="S11" s="15"/>
      <c r="T11" s="15"/>
      <c r="U11" s="15"/>
      <c r="V11" s="15"/>
    </row>
    <row r="12" spans="1:22" ht="15.75">
      <c r="A12" s="27" t="s">
        <v>28</v>
      </c>
      <c r="B12" s="27"/>
      <c r="D12" s="28" t="s">
        <v>13</v>
      </c>
      <c r="E12" s="28"/>
      <c r="F12" s="28"/>
      <c r="G12" s="28"/>
      <c r="H12" s="2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>
      <c r="A13" s="5" t="s">
        <v>14</v>
      </c>
      <c r="B13" s="2">
        <v>42278</v>
      </c>
      <c r="D13" s="13" t="str">
        <f>IF(OR(B16="Refrigerated containers",B16="Refrigerated containers (with IMO goods)",B16="Standard DV/GP/HQ containers (awkward)"),"Billable days 1 and over","Billable days 1 to 5")</f>
        <v>Billable days 1 and over</v>
      </c>
      <c r="E13" s="13" t="str">
        <f>IF(OR(B16="Standard DV/GP/HQ containers",B16="Standard DV/GP/HQ containers (with IMO goods)"),"Billable days 6 to 8","-")</f>
        <v>-</v>
      </c>
      <c r="F13" s="13" t="str">
        <f>IF(OR(B16="Standard DV/GP/HQ containers",B16="Standard DV/GP/HQ containers (with IMO goods)"),"Billable days 9 to 30","-")</f>
        <v>-</v>
      </c>
      <c r="G13" s="13" t="str">
        <f>IF(OR(B16="Standard DV/GP/HQ containers",B16="Standard DV/GP/HQ containers (with IMO goods)"),"Billable days 31 to 60","-")</f>
        <v>-</v>
      </c>
      <c r="H13" s="13" t="str">
        <f>IF(OR(B16="Standard DV/GP/HQ containers",B16="Standard DV/GP/HQ containers (with IMO goods)"),"Billable days 61 and over","-")</f>
        <v>-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>
      <c r="A14" s="5" t="s">
        <v>43</v>
      </c>
      <c r="B14" s="2">
        <v>42370</v>
      </c>
      <c r="D14" s="13">
        <f>IF(B16="Standard DV/GP/HQ containers (awkward)",IF(B20&gt;=1,77.5*B20,"-"),IF(B16="Standard DV/GP/HQ containers",IF(AND(B20&gt;=1,B20&lt;=5),18*B20,IF(B20&gt;5,18*5,"-")),IF(B16="Standard DV/GP/HQ containers (with IMO goods)",IF(AND(B20&gt;=1,B20&lt;=5),27*B20,IF(B20&gt;5,27*5,"-")),IF(B16="Refrigerated containers",IF(B20&gt;=1,56*B20,"-"),IF(B16="Refrigerated containers (with IMO goods)",IF(B20&gt;=1,84*B20,"-"),"-")))))</f>
        <v>7052.5</v>
      </c>
      <c r="E14" s="13" t="str">
        <f>IF(B16="Standard DV/GP/HQ containers",IF(AND(B20&gt;=6,B20&lt;=8),22*(B20-5),IF(B20&gt;8,22*3,"-")),IF(B16="Standard DV/GP/HQ containers (with IMO goods)",IF(AND(B20&gt;=6,B20&lt;=8),33*(B20-5),IF(B20&gt;8,33*3,"-")),"-"))</f>
        <v>-</v>
      </c>
      <c r="F14" s="13" t="str">
        <f>IF(B16="Standard DV/GP/HQ containers",IF(AND(B20&gt;=9,B20&lt;=30),42*(B20-8),IF(B20&gt;30,42*22,"-")),IF(B16="Standard DV/GP/HQ containers (with IMO goods)",IF(AND(B20&gt;=9,B20&lt;=30),63*(B20-8),IF(B20&gt;30,63*22,"-")),"-"))</f>
        <v>-</v>
      </c>
      <c r="G14" s="13" t="str">
        <f>IF(B16="Standard DV/GP/HQ containers",IF(AND(B20&gt;=31,B20&lt;=60),36*(B20-30),IF(B20&gt;60,36*30,"-")),IF(B16="Standard DV/GP/HQ containers (with IMO goods)",IF(AND(B20&gt;=31,B20&lt;=60),54*(B20-30),IF(B20&gt;30,54*30,"-")),"-"))</f>
        <v>-</v>
      </c>
      <c r="H14" s="13" t="str">
        <f>IF(B16="Standard DV/GP/HQ containers",IF(B20&gt;=61,22*(B20-60),"-"),IF(B16="Standard DV/GP/HQ containers (with IMO goods)",IF(B20&gt;=61,33*(B20-60),"-"),"-"))</f>
        <v>-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>
      <c r="A15" s="5" t="s">
        <v>15</v>
      </c>
      <c r="B15" s="3">
        <v>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>
      <c r="A16" s="5" t="s">
        <v>16</v>
      </c>
      <c r="B16" s="4" t="s">
        <v>4</v>
      </c>
      <c r="D16" s="9" t="s">
        <v>17</v>
      </c>
      <c r="E16" s="9" t="s">
        <v>18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>
      <c r="D17" s="13">
        <f>MAX(D14)+MAX(E14)+MAX(F14)+MAX(G14)+MAX(H14)</f>
        <v>7052.5</v>
      </c>
      <c r="E17" s="13">
        <f>D17*B15</f>
        <v>7052.5</v>
      </c>
      <c r="I17" s="15"/>
      <c r="J17" s="15"/>
      <c r="K17" s="11"/>
      <c r="L17" s="10"/>
      <c r="M17" s="10"/>
      <c r="N17" s="11"/>
      <c r="O17" s="10"/>
      <c r="P17" s="15"/>
      <c r="Q17" s="15"/>
      <c r="R17" s="15"/>
      <c r="S17" s="15"/>
      <c r="T17" s="15"/>
      <c r="U17" s="15"/>
      <c r="V17" s="15"/>
    </row>
    <row r="18" spans="1:22">
      <c r="A18" s="5" t="s">
        <v>19</v>
      </c>
      <c r="B18" s="13">
        <f>IF(B16="Standard DV/GP/HQ containers",5,IF(B16="Standard DV/GP/HQ containers (with IMO goods)",4,IF(B16="Refrigerated containers",0,IF(B16="Refrigerated containers (with IMO goods)",0,IF(B16="Standard DV/GP/HQ containers (awkward)",2,"-")))))</f>
        <v>2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5" t="s">
        <v>20</v>
      </c>
      <c r="B19" s="13">
        <f>IF((B14-B13+1)&lt;0,0,B14-B13+1)</f>
        <v>93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5" t="s">
        <v>21</v>
      </c>
      <c r="B20" s="13">
        <f>IF(B18&gt;B19,0,B19-B18)</f>
        <v>91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3" spans="1:22">
      <c r="A23" s="25" t="s">
        <v>36</v>
      </c>
      <c r="B23" s="25"/>
      <c r="C23" s="22"/>
      <c r="D23" s="22"/>
      <c r="E23" s="22"/>
    </row>
    <row r="24" spans="1:22">
      <c r="A24" s="25" t="s">
        <v>37</v>
      </c>
      <c r="B24" s="25"/>
      <c r="C24" s="22"/>
      <c r="D24" s="22"/>
      <c r="E24" s="22"/>
    </row>
    <row r="25" spans="1:22">
      <c r="A25" s="25" t="s">
        <v>38</v>
      </c>
      <c r="B25" s="25"/>
      <c r="C25" s="22"/>
      <c r="D25" s="22"/>
      <c r="E25" s="22"/>
    </row>
    <row r="26" spans="1:22">
      <c r="A26" s="25" t="s">
        <v>42</v>
      </c>
      <c r="B26" s="25"/>
      <c r="C26" s="22"/>
      <c r="D26" s="22"/>
      <c r="E26" s="22"/>
    </row>
    <row r="27" spans="1:22">
      <c r="A27" s="25" t="s">
        <v>39</v>
      </c>
      <c r="B27" s="25"/>
      <c r="C27" s="22"/>
      <c r="D27" s="22"/>
      <c r="E27" s="22"/>
    </row>
    <row r="28" spans="1:22">
      <c r="A28" s="22"/>
      <c r="B28" s="22"/>
      <c r="C28" s="22"/>
      <c r="D28" s="22"/>
      <c r="E28" s="22"/>
    </row>
    <row r="29" spans="1:22" ht="15.75">
      <c r="A29" s="24" t="s">
        <v>41</v>
      </c>
      <c r="B29" s="24"/>
      <c r="C29" s="24"/>
      <c r="D29" s="24"/>
      <c r="E29" s="24"/>
    </row>
  </sheetData>
  <sheetProtection password="DEA4" sheet="1" objects="1" scenarios="1"/>
  <mergeCells count="13">
    <mergeCell ref="D12:H12"/>
    <mergeCell ref="A12:B12"/>
    <mergeCell ref="K3:L3"/>
    <mergeCell ref="N3:O3"/>
    <mergeCell ref="Q3:R3"/>
    <mergeCell ref="K10:L10"/>
    <mergeCell ref="N10:O10"/>
    <mergeCell ref="A29:E29"/>
    <mergeCell ref="A23:B23"/>
    <mergeCell ref="A24:B24"/>
    <mergeCell ref="A25:B25"/>
    <mergeCell ref="A26:B26"/>
    <mergeCell ref="A27:B27"/>
  </mergeCells>
  <dataValidations count="1">
    <dataValidation type="list" allowBlank="1" showInputMessage="1" showErrorMessage="1" sqref="B16">
      <formula1>$K$1:$O$1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9"/>
  <sheetViews>
    <sheetView topLeftCell="A12" workbookViewId="0">
      <selection activeCell="D21" sqref="D21"/>
    </sheetView>
  </sheetViews>
  <sheetFormatPr defaultRowHeight="15"/>
  <cols>
    <col min="1" max="1" width="35.85546875" style="1" bestFit="1" customWidth="1"/>
    <col min="2" max="2" width="50.7109375" style="1" customWidth="1"/>
    <col min="3" max="3" width="9.140625" style="1"/>
    <col min="4" max="6" width="22.140625" style="1" bestFit="1" customWidth="1"/>
    <col min="7" max="7" width="19.5703125" style="1" bestFit="1" customWidth="1"/>
    <col min="8" max="8" width="23.140625" style="1" bestFit="1" customWidth="1"/>
    <col min="9" max="16384" width="9.140625" style="1"/>
  </cols>
  <sheetData>
    <row r="1" spans="1:21" hidden="1">
      <c r="I1" s="15"/>
      <c r="J1" s="15"/>
      <c r="K1" s="6" t="s">
        <v>0</v>
      </c>
      <c r="L1" s="6" t="s">
        <v>1</v>
      </c>
      <c r="M1" s="6" t="s">
        <v>2</v>
      </c>
      <c r="N1" s="6" t="s">
        <v>4</v>
      </c>
      <c r="O1" s="23"/>
      <c r="P1" s="6"/>
      <c r="Q1" s="6"/>
      <c r="R1" s="6"/>
      <c r="S1" s="21"/>
      <c r="T1" s="15"/>
      <c r="U1" s="15"/>
    </row>
    <row r="2" spans="1:21" hidden="1">
      <c r="I2" s="15"/>
      <c r="J2" s="15"/>
      <c r="K2" s="6"/>
      <c r="L2" s="6"/>
      <c r="M2" s="6"/>
      <c r="N2" s="6"/>
      <c r="O2" s="6"/>
      <c r="P2" s="6"/>
      <c r="Q2" s="6"/>
      <c r="R2" s="6"/>
      <c r="S2" s="21"/>
      <c r="T2" s="15"/>
      <c r="U2" s="15"/>
    </row>
    <row r="3" spans="1:21" hidden="1">
      <c r="I3" s="15"/>
      <c r="J3" s="15"/>
      <c r="K3" s="26" t="s">
        <v>5</v>
      </c>
      <c r="L3" s="26"/>
      <c r="M3" s="6"/>
      <c r="N3" s="26" t="s">
        <v>6</v>
      </c>
      <c r="O3" s="26"/>
      <c r="P3" s="6"/>
      <c r="Q3" s="26" t="s">
        <v>7</v>
      </c>
      <c r="R3" s="26"/>
      <c r="S3" s="21"/>
      <c r="T3" s="15"/>
      <c r="U3" s="15"/>
    </row>
    <row r="4" spans="1:21" hidden="1">
      <c r="I4" s="15"/>
      <c r="J4" s="15"/>
      <c r="K4" s="7" t="s">
        <v>34</v>
      </c>
      <c r="L4" s="6">
        <v>15</v>
      </c>
      <c r="M4" s="6"/>
      <c r="N4" s="7" t="s">
        <v>34</v>
      </c>
      <c r="O4" s="14">
        <f>L4+L4*0.5</f>
        <v>22.5</v>
      </c>
      <c r="P4" s="6"/>
      <c r="Q4" s="7" t="s">
        <v>33</v>
      </c>
      <c r="R4" s="6">
        <v>65</v>
      </c>
      <c r="S4" s="21"/>
      <c r="T4" s="15"/>
      <c r="U4" s="15"/>
    </row>
    <row r="5" spans="1:21" hidden="1">
      <c r="I5" s="15"/>
      <c r="J5" s="15"/>
      <c r="K5" s="7" t="s">
        <v>35</v>
      </c>
      <c r="L5" s="6">
        <v>25</v>
      </c>
      <c r="M5" s="6"/>
      <c r="N5" s="7" t="s">
        <v>35</v>
      </c>
      <c r="O5" s="14">
        <f t="shared" ref="O5:O6" si="0">L5+L5*0.5</f>
        <v>37.5</v>
      </c>
      <c r="P5" s="6"/>
      <c r="Q5" s="7">
        <v>5</v>
      </c>
      <c r="R5" s="6">
        <v>80</v>
      </c>
      <c r="S5" s="21"/>
      <c r="T5" s="15"/>
      <c r="U5" s="15"/>
    </row>
    <row r="6" spans="1:21" hidden="1">
      <c r="I6" s="15"/>
      <c r="J6" s="15"/>
      <c r="K6" s="7">
        <v>8</v>
      </c>
      <c r="L6" s="6">
        <v>40</v>
      </c>
      <c r="M6" s="6"/>
      <c r="N6" s="7">
        <v>8</v>
      </c>
      <c r="O6" s="8">
        <f t="shared" si="0"/>
        <v>60</v>
      </c>
      <c r="P6" s="6"/>
      <c r="Q6" s="6"/>
      <c r="R6" s="6"/>
      <c r="S6" s="21"/>
      <c r="T6" s="15"/>
      <c r="U6" s="15"/>
    </row>
    <row r="7" spans="1:21" hidden="1">
      <c r="I7" s="15"/>
      <c r="J7" s="15"/>
      <c r="K7" s="7"/>
      <c r="L7" s="6"/>
      <c r="M7" s="6"/>
      <c r="N7" s="7"/>
      <c r="O7" s="8"/>
      <c r="P7" s="6"/>
      <c r="Q7" s="6"/>
      <c r="R7" s="6"/>
      <c r="S7" s="21"/>
      <c r="T7" s="15"/>
      <c r="U7" s="15"/>
    </row>
    <row r="8" spans="1:21" hidden="1">
      <c r="I8" s="15"/>
      <c r="J8" s="15"/>
      <c r="K8" s="26" t="s">
        <v>9</v>
      </c>
      <c r="L8" s="26"/>
      <c r="M8" s="6"/>
      <c r="N8" s="26" t="s">
        <v>10</v>
      </c>
      <c r="O8" s="26"/>
      <c r="P8" s="6"/>
      <c r="Q8" s="6"/>
      <c r="R8" s="6"/>
      <c r="S8" s="21"/>
      <c r="T8" s="15"/>
      <c r="U8" s="15"/>
    </row>
    <row r="9" spans="1:21" hidden="1">
      <c r="I9" s="15"/>
      <c r="J9" s="15"/>
      <c r="K9" s="7" t="s">
        <v>34</v>
      </c>
      <c r="L9" s="6">
        <v>50</v>
      </c>
      <c r="M9" s="6"/>
      <c r="N9" s="7" t="s">
        <v>34</v>
      </c>
      <c r="O9" s="6">
        <f>L9+L9*0.5</f>
        <v>75</v>
      </c>
      <c r="P9" s="6"/>
      <c r="Q9" s="6"/>
      <c r="R9" s="6"/>
      <c r="S9" s="21"/>
      <c r="T9" s="15"/>
      <c r="U9" s="15"/>
    </row>
    <row r="10" spans="1:21" hidden="1">
      <c r="I10" s="15"/>
      <c r="J10" s="15"/>
      <c r="K10" s="19">
        <v>4</v>
      </c>
      <c r="L10" s="19">
        <v>60</v>
      </c>
      <c r="M10" s="19"/>
      <c r="N10" s="19">
        <v>4</v>
      </c>
      <c r="O10" s="6">
        <f>L10+L10*0.5</f>
        <v>90</v>
      </c>
      <c r="P10" s="6"/>
      <c r="Q10" s="6"/>
      <c r="R10" s="6"/>
      <c r="S10" s="21"/>
      <c r="T10" s="15"/>
      <c r="U10" s="15"/>
    </row>
    <row r="11" spans="1:21" hidden="1">
      <c r="I11" s="15"/>
      <c r="J11" s="15"/>
      <c r="K11" s="21"/>
      <c r="L11" s="21"/>
      <c r="M11" s="21"/>
      <c r="N11" s="21"/>
      <c r="O11" s="21"/>
      <c r="P11" s="21"/>
      <c r="Q11" s="21"/>
      <c r="R11" s="21"/>
      <c r="S11" s="21"/>
      <c r="T11" s="15"/>
      <c r="U11" s="15"/>
    </row>
    <row r="12" spans="1:21" ht="15.75">
      <c r="A12" s="27" t="s">
        <v>32</v>
      </c>
      <c r="B12" s="27"/>
      <c r="D12" s="28" t="s">
        <v>13</v>
      </c>
      <c r="E12" s="28"/>
      <c r="F12" s="28"/>
      <c r="G12" s="16"/>
      <c r="H12" s="16"/>
      <c r="I12" s="15"/>
      <c r="J12" s="15"/>
      <c r="K12" s="21"/>
      <c r="L12" s="21"/>
      <c r="M12" s="21"/>
      <c r="N12" s="21"/>
      <c r="O12" s="21"/>
      <c r="P12" s="21"/>
      <c r="Q12" s="21"/>
      <c r="R12" s="21"/>
      <c r="S12" s="21"/>
      <c r="T12" s="15"/>
      <c r="U12" s="15"/>
    </row>
    <row r="13" spans="1:21">
      <c r="A13" s="5" t="s">
        <v>14</v>
      </c>
      <c r="B13" s="2">
        <v>42278</v>
      </c>
      <c r="D13" s="13" t="str">
        <f>IF(B16="Standard DV/GP/HQ containers (awkward)","Billable days 1 to 4",IF(OR(B16="Standard DV/GP/HQ containers",B16="Standard DV/GP/HQ containers (with IMO goods)"),"Billable days 1 to 3",IF(OR(B16="Refrigerated containers",B16="Refrigerated containers (with IMO goods)"),"Billable days 1 to 3","-")))</f>
        <v>Billable days 1 to 4</v>
      </c>
      <c r="E13" s="13" t="str">
        <f>IF(OR(B16="Standard DV/GP/HQ containers",B16="Standard DV/GP/HQ containers (with IMO goods)"),"Billable days 4 to 7",IF(OR(B16="Refrigerated containers",B16="Refrigerated containers (with IMO goods)"),"Billable days 4 and over",IF(B16="Standard DV/GP/HQ containers (awkward)","Billable days 5 and over","-")))</f>
        <v>Billable days 5 and over</v>
      </c>
      <c r="F13" s="13" t="str">
        <f>IF(OR(B16="Standard DV/GP/HQ containers",B16="Standard DV/GP/HQ containers (with IMO goods)"),"Billable days 8 and over","-")</f>
        <v>-</v>
      </c>
      <c r="G13" s="17"/>
      <c r="H13" s="17"/>
      <c r="I13" s="15"/>
      <c r="J13" s="15"/>
      <c r="K13" s="21"/>
      <c r="L13" s="21"/>
      <c r="M13" s="21"/>
      <c r="N13" s="21"/>
      <c r="O13" s="21"/>
      <c r="P13" s="21"/>
      <c r="Q13" s="21"/>
      <c r="R13" s="21"/>
      <c r="S13" s="21"/>
      <c r="T13" s="15"/>
      <c r="U13" s="15"/>
    </row>
    <row r="14" spans="1:21">
      <c r="A14" s="5" t="s">
        <v>43</v>
      </c>
      <c r="B14" s="2">
        <v>42297</v>
      </c>
      <c r="D14" s="20">
        <f>IF(B16="Standard DV/GP/HQ containers",IF(AND(B20&gt;=1,B20&lt;=3),15*B20,IF(B20&gt;3,15*3,"-")),IF(B16="Standard DV/GP/HQ containers (with IMO goods)",IF(AND(B20&gt;=1,B20&lt;=3),22.5*B20,IF(B20&gt;3,22.5*3,"-")),IF(B16="Refrigerated containers",IF(AND(B20&gt;=1,B20&lt;=3),50*B20,IF(B20&gt;3,50*3,"-")),IF(B16="Refrigerated containers (with IMO goods)",IF(AND(B20&gt;=1,B20&lt;=3),75*B20,IF(B20&gt;3,75*3,"-")),IF(B16="Standard DV/GP/HQ containers (awkward)",IF(AND(B20&gt;=1,B20&lt;=4),65*B20,IF(B20&gt;4,65*4,"-")),"-")))))</f>
        <v>260</v>
      </c>
      <c r="E14" s="13">
        <f>IF(B16="Standard DV/GP/HQ containers",IF(AND(B20&gt;=4,B20&lt;=7),25*(B20-3),IF(B20&gt;7,25*4,"-")),IF(B16="Standard DV/GP/HQ containers (with IMO goods)",IF(AND(B20&gt;=4,B20&lt;=7),37.5*(B20-3),IF(B20&gt;7,37.5*4,"-")),IF(B16="Refrigerated containers",IF(B20&gt;=4,60*(B20-3),"-"),IF(B16="Refrigerated containers (with IMO goods)",IF(B20&gt;=4,90*(B20-3),"-"),IF(B16="Standard DV/GP/HQ containers (awkward)",IF(B20&gt;=5,80*(B20-4),"-"),"-")))))</f>
        <v>1120</v>
      </c>
      <c r="F14" s="13" t="str">
        <f>IF(B16="Standard DV/GP/HQ containers",IF(B20&gt;=8,40*(B20-7),"-"),IF(B16="Standard DV/GP/HQ containers (with IMO goods)",IF(B20&gt;=8,60*(B20-7),"-"),"-"))</f>
        <v>-</v>
      </c>
      <c r="G14" s="17"/>
      <c r="H14" s="17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5" t="s">
        <v>15</v>
      </c>
      <c r="B15" s="3">
        <v>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>
      <c r="A16" s="5" t="s">
        <v>16</v>
      </c>
      <c r="B16" s="4" t="s">
        <v>4</v>
      </c>
      <c r="D16" s="9" t="s">
        <v>17</v>
      </c>
      <c r="E16" s="9" t="s">
        <v>18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D17" s="13">
        <f>MAX(D14)+MAX(E14)+MAX(F14)</f>
        <v>1380</v>
      </c>
      <c r="E17" s="13">
        <f>D17*B15</f>
        <v>1380</v>
      </c>
      <c r="I17" s="15"/>
      <c r="J17" s="15"/>
      <c r="K17" s="11"/>
      <c r="L17" s="10"/>
      <c r="M17" s="10"/>
      <c r="N17" s="11"/>
      <c r="O17" s="10"/>
      <c r="P17" s="15"/>
      <c r="Q17" s="15"/>
      <c r="R17" s="15"/>
      <c r="S17" s="15"/>
      <c r="T17" s="15"/>
      <c r="U17" s="15"/>
    </row>
    <row r="18" spans="1:21">
      <c r="A18" s="5" t="s">
        <v>19</v>
      </c>
      <c r="B18" s="13">
        <f>IF(B16="Standard DV/GP/HQ containers",10,IF(B16="Standard DV/GP/HQ containers (with IMO goods)",3,IF(B16="Refrigerated containers",2,IF(B16="Refrigerated containers (with IMO goods)",2,IF(B16="Standard DV/GP/HQ containers (awkward)",2,"-")))))</f>
        <v>2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5" t="s">
        <v>20</v>
      </c>
      <c r="B19" s="13">
        <f>IF((B14-B13+1)&lt;0,0,B14-B13+1)</f>
        <v>20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>
      <c r="A20" s="5" t="s">
        <v>21</v>
      </c>
      <c r="B20" s="13">
        <f>IF(B18&gt;B19,0,B19-B18)</f>
        <v>18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25" t="s">
        <v>36</v>
      </c>
      <c r="B23" s="25"/>
      <c r="C23" s="22"/>
      <c r="D23" s="22"/>
      <c r="E23" s="22"/>
    </row>
    <row r="24" spans="1:21">
      <c r="A24" s="25" t="s">
        <v>37</v>
      </c>
      <c r="B24" s="25"/>
      <c r="C24" s="22"/>
      <c r="D24" s="22"/>
      <c r="E24" s="22"/>
    </row>
    <row r="25" spans="1:21">
      <c r="A25" s="25" t="s">
        <v>38</v>
      </c>
      <c r="B25" s="25"/>
      <c r="C25" s="22"/>
      <c r="D25" s="22"/>
      <c r="E25" s="22"/>
    </row>
    <row r="26" spans="1:21">
      <c r="A26" s="25" t="s">
        <v>42</v>
      </c>
      <c r="B26" s="25"/>
      <c r="C26" s="22"/>
      <c r="D26" s="22"/>
      <c r="E26" s="22"/>
    </row>
    <row r="27" spans="1:21">
      <c r="A27" s="25" t="s">
        <v>39</v>
      </c>
      <c r="B27" s="25"/>
      <c r="C27" s="22"/>
      <c r="D27" s="22"/>
      <c r="E27" s="22"/>
    </row>
    <row r="28" spans="1:21">
      <c r="A28" s="22"/>
      <c r="B28" s="22"/>
      <c r="C28" s="22"/>
      <c r="D28" s="22"/>
      <c r="E28" s="22"/>
    </row>
    <row r="29" spans="1:21" ht="15.75">
      <c r="A29" s="24" t="s">
        <v>41</v>
      </c>
      <c r="B29" s="24"/>
      <c r="C29" s="24"/>
      <c r="D29" s="24"/>
      <c r="E29" s="24"/>
    </row>
  </sheetData>
  <sheetProtection password="DEA4" sheet="1" objects="1" scenarios="1"/>
  <mergeCells count="13">
    <mergeCell ref="A12:B12"/>
    <mergeCell ref="D12:F12"/>
    <mergeCell ref="K3:L3"/>
    <mergeCell ref="N3:O3"/>
    <mergeCell ref="Q3:R3"/>
    <mergeCell ref="K8:L8"/>
    <mergeCell ref="N8:O8"/>
    <mergeCell ref="A29:E29"/>
    <mergeCell ref="A23:B23"/>
    <mergeCell ref="A24:B24"/>
    <mergeCell ref="A25:B25"/>
    <mergeCell ref="A26:B26"/>
    <mergeCell ref="A27:B27"/>
  </mergeCells>
  <dataValidations count="1">
    <dataValidation type="list" allowBlank="1" showInputMessage="1" showErrorMessage="1" sqref="B16">
      <formula1>$K$1:$N$1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9F126BAF99B40A9E955B6B9DC0668" ma:contentTypeVersion="2" ma:contentTypeDescription="Create a new document." ma:contentTypeScope="" ma:versionID="0e322be75668608ae376ced2e01e5ef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0B793-CE68-4167-8090-3B40658883C5}"/>
</file>

<file path=customXml/itemProps2.xml><?xml version="1.0" encoding="utf-8"?>
<ds:datastoreItem xmlns:ds="http://schemas.openxmlformats.org/officeDocument/2006/customXml" ds:itemID="{6076A376-A52A-41FE-A052-E513A215F44E}"/>
</file>

<file path=customXml/itemProps3.xml><?xml version="1.0" encoding="utf-8"?>
<ds:datastoreItem xmlns:ds="http://schemas.openxmlformats.org/officeDocument/2006/customXml" ds:itemID="{BF1CF822-75D3-4E2B-81BB-9E15A5986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ПКТ</vt:lpstr>
      <vt:lpstr>ПЛП</vt:lpstr>
      <vt:lpstr>СВХ</vt:lpstr>
      <vt:lpstr>УЛКТ</vt:lpstr>
      <vt:lpstr>КТСП</vt:lpstr>
      <vt:lpstr>МРП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SmoleEu</dc:creator>
  <cp:lastModifiedBy>MAYBUAR</cp:lastModifiedBy>
  <dcterms:created xsi:type="dcterms:W3CDTF">2015-06-01T10:02:40Z</dcterms:created>
  <dcterms:modified xsi:type="dcterms:W3CDTF">2016-01-25T13:06:54Z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0x010100E149F126BAF99B40A9E955B6B9DC0668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4400</vt:r8>
  </property>
</Properties>
</file>